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140" yWindow="60" windowWidth="25600" windowHeight="16060"/>
  </bookViews>
  <sheets>
    <sheet name="Predictions" sheetId="1" r:id="rId1"/>
    <sheet name="Measurements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" l="1"/>
  <c r="J20" i="1"/>
  <c r="J9" i="1"/>
  <c r="J21" i="1"/>
  <c r="J23" i="1"/>
  <c r="J24" i="1"/>
  <c r="J22" i="1"/>
  <c r="C22" i="1"/>
  <c r="K8" i="1"/>
  <c r="K20" i="1"/>
  <c r="K9" i="1"/>
  <c r="K21" i="1"/>
  <c r="K23" i="1"/>
  <c r="K24" i="1"/>
  <c r="K22" i="1"/>
  <c r="C21" i="1"/>
  <c r="I28" i="1"/>
  <c r="J28" i="1"/>
  <c r="J43" i="1"/>
  <c r="D28" i="1"/>
  <c r="C28" i="1"/>
  <c r="C23" i="1"/>
  <c r="C8" i="1"/>
  <c r="C30" i="1"/>
  <c r="C24" i="1"/>
  <c r="C7" i="1"/>
  <c r="C27" i="1"/>
  <c r="I30" i="1"/>
  <c r="I29" i="1"/>
  <c r="I27" i="1"/>
  <c r="K17" i="1"/>
  <c r="K16" i="1"/>
  <c r="J16" i="1"/>
  <c r="M45" i="2"/>
  <c r="M33" i="2"/>
  <c r="M48" i="2"/>
  <c r="M44" i="2"/>
  <c r="M47" i="2"/>
  <c r="J31" i="2"/>
  <c r="L31" i="2"/>
  <c r="O31" i="2"/>
  <c r="J30" i="2"/>
  <c r="L30" i="2"/>
  <c r="O30" i="2"/>
  <c r="K30" i="2"/>
  <c r="N30" i="2"/>
  <c r="J29" i="2"/>
  <c r="L29" i="2"/>
  <c r="O29" i="2"/>
  <c r="J28" i="2"/>
  <c r="L28" i="2"/>
  <c r="O28" i="2"/>
  <c r="K28" i="2"/>
  <c r="N28" i="2"/>
  <c r="J27" i="2"/>
  <c r="L27" i="2"/>
  <c r="O27" i="2"/>
  <c r="J26" i="2"/>
  <c r="L26" i="2"/>
  <c r="O26" i="2"/>
  <c r="K26" i="2"/>
  <c r="N26" i="2"/>
  <c r="J25" i="2"/>
  <c r="L25" i="2"/>
  <c r="O25" i="2"/>
  <c r="J24" i="2"/>
  <c r="L24" i="2"/>
  <c r="O24" i="2"/>
  <c r="K24" i="2"/>
  <c r="N24" i="2"/>
  <c r="J23" i="2"/>
  <c r="L23" i="2"/>
  <c r="O23" i="2"/>
  <c r="E23" i="2"/>
  <c r="E24" i="2"/>
  <c r="E25" i="2"/>
  <c r="E26" i="2"/>
  <c r="E27" i="2"/>
  <c r="E28" i="2"/>
  <c r="E29" i="2"/>
  <c r="E30" i="2"/>
  <c r="J22" i="2"/>
  <c r="L22" i="2"/>
  <c r="O22" i="2"/>
  <c r="K22" i="2"/>
  <c r="N22" i="2"/>
  <c r="J21" i="2"/>
  <c r="K21" i="2"/>
  <c r="N21" i="2"/>
  <c r="L21" i="2"/>
  <c r="O21" i="2"/>
  <c r="J20" i="2"/>
  <c r="L20" i="2"/>
  <c r="O20" i="2"/>
  <c r="J19" i="2"/>
  <c r="K19" i="2"/>
  <c r="N19" i="2"/>
  <c r="L19" i="2"/>
  <c r="O19" i="2"/>
  <c r="J18" i="2"/>
  <c r="K18" i="2"/>
  <c r="N18" i="2"/>
  <c r="J17" i="2"/>
  <c r="K17" i="2"/>
  <c r="N17" i="2"/>
  <c r="L17" i="2"/>
  <c r="O17" i="2"/>
  <c r="J16" i="2"/>
  <c r="K16" i="2"/>
  <c r="N16" i="2"/>
  <c r="J15" i="2"/>
  <c r="K15" i="2"/>
  <c r="N15" i="2"/>
  <c r="L15" i="2"/>
  <c r="O15" i="2"/>
  <c r="J14" i="2"/>
  <c r="K14" i="2"/>
  <c r="N14" i="2"/>
  <c r="J13" i="2"/>
  <c r="K13" i="2"/>
  <c r="N13" i="2"/>
  <c r="L13" i="2"/>
  <c r="O13" i="2"/>
  <c r="E13" i="2"/>
  <c r="E14" i="2"/>
  <c r="E15" i="2"/>
  <c r="E16" i="2"/>
  <c r="E17" i="2"/>
  <c r="E18" i="2"/>
  <c r="E19" i="2"/>
  <c r="E20" i="2"/>
  <c r="E21" i="2"/>
  <c r="J12" i="2"/>
  <c r="L12" i="2"/>
  <c r="O12" i="2"/>
  <c r="J11" i="2"/>
  <c r="L11" i="2"/>
  <c r="O11" i="2"/>
  <c r="K11" i="2"/>
  <c r="N11" i="2"/>
  <c r="J10" i="2"/>
  <c r="L10" i="2"/>
  <c r="O10" i="2"/>
  <c r="J9" i="2"/>
  <c r="L9" i="2"/>
  <c r="O9" i="2"/>
  <c r="K9" i="2"/>
  <c r="N9" i="2"/>
  <c r="J8" i="2"/>
  <c r="L8" i="2"/>
  <c r="O8" i="2"/>
  <c r="E7" i="2"/>
  <c r="E8" i="2"/>
  <c r="E9" i="2"/>
  <c r="E10" i="2"/>
  <c r="E11" i="2"/>
  <c r="J7" i="2"/>
  <c r="L7" i="2"/>
  <c r="O7" i="2"/>
  <c r="K7" i="2"/>
  <c r="N7" i="2"/>
  <c r="J6" i="2"/>
  <c r="L6" i="2"/>
  <c r="O6" i="2"/>
  <c r="K12" i="2"/>
  <c r="N12" i="2"/>
  <c r="K20" i="2"/>
  <c r="N20" i="2"/>
  <c r="K31" i="2"/>
  <c r="N31" i="2"/>
  <c r="K6" i="2"/>
  <c r="N6" i="2"/>
  <c r="K8" i="2"/>
  <c r="N8" i="2"/>
  <c r="K10" i="2"/>
  <c r="N10" i="2"/>
  <c r="K23" i="2"/>
  <c r="N23" i="2"/>
  <c r="K25" i="2"/>
  <c r="N25" i="2"/>
  <c r="K27" i="2"/>
  <c r="N27" i="2"/>
  <c r="K29" i="2"/>
  <c r="N29" i="2"/>
  <c r="M34" i="2"/>
  <c r="L14" i="2"/>
  <c r="O14" i="2"/>
  <c r="L16" i="2"/>
  <c r="O16" i="2"/>
  <c r="L18" i="2"/>
  <c r="O18" i="2"/>
  <c r="M35" i="2"/>
  <c r="J48" i="1"/>
  <c r="J47" i="1"/>
  <c r="J46" i="1"/>
  <c r="C17" i="1"/>
  <c r="C18" i="1"/>
  <c r="K19" i="1"/>
  <c r="K18" i="1"/>
  <c r="J19" i="1"/>
  <c r="J18" i="1"/>
  <c r="J17" i="1"/>
  <c r="C10" i="1"/>
  <c r="C11" i="1"/>
  <c r="J49" i="1"/>
  <c r="J12" i="1"/>
  <c r="K29" i="1"/>
  <c r="K12" i="1"/>
  <c r="K27" i="1"/>
  <c r="J27" i="1"/>
  <c r="J29" i="1"/>
  <c r="K28" i="1"/>
  <c r="D24" i="1"/>
  <c r="D22" i="1"/>
  <c r="E30" i="1"/>
  <c r="K30" i="1"/>
  <c r="J30" i="1"/>
  <c r="D31" i="1"/>
  <c r="C31" i="1"/>
  <c r="E31" i="1"/>
  <c r="E28" i="1"/>
  <c r="D30" i="1"/>
  <c r="D32" i="1"/>
  <c r="C29" i="1"/>
  <c r="D23" i="1"/>
  <c r="C32" i="1"/>
  <c r="E32" i="1"/>
  <c r="D21" i="1"/>
  <c r="C34" i="1"/>
  <c r="E27" i="1"/>
  <c r="E29" i="1"/>
  <c r="E34" i="1"/>
  <c r="D27" i="1"/>
  <c r="D29" i="1"/>
  <c r="D34" i="1"/>
</calcChain>
</file>

<file path=xl/sharedStrings.xml><?xml version="1.0" encoding="utf-8"?>
<sst xmlns="http://schemas.openxmlformats.org/spreadsheetml/2006/main" count="157" uniqueCount="117">
  <si>
    <t>mm</t>
  </si>
  <si>
    <t>Constants</t>
  </si>
  <si>
    <t>top width 1 (wt1)</t>
  </si>
  <si>
    <t>bottom width 1 (wb1)</t>
  </si>
  <si>
    <t>W/m.K</t>
  </si>
  <si>
    <t>top width 2 (wt2)</t>
  </si>
  <si>
    <t>W/m^2.K</t>
  </si>
  <si>
    <t>bottom width 2 (wb2)</t>
  </si>
  <si>
    <t>average top width (wt)</t>
  </si>
  <si>
    <t>degC</t>
  </si>
  <si>
    <t>average bottom width (wb)</t>
  </si>
  <si>
    <t>max average temp/day</t>
  </si>
  <si>
    <t>Boat DC voltage system</t>
  </si>
  <si>
    <t>V</t>
  </si>
  <si>
    <t>1 watt-hr =</t>
  </si>
  <si>
    <t>Btu</t>
  </si>
  <si>
    <t>insulation thickness fridge</t>
  </si>
  <si>
    <t>insulation thickness freezer</t>
  </si>
  <si>
    <t>U-value fridge insulation</t>
  </si>
  <si>
    <t>U-value freezer insulation</t>
  </si>
  <si>
    <t>average length of side</t>
  </si>
  <si>
    <t>ft^3</t>
  </si>
  <si>
    <t>litres</t>
  </si>
  <si>
    <t>m^3</t>
  </si>
  <si>
    <t>internal volume of fridge</t>
  </si>
  <si>
    <t>external volume of fridge</t>
  </si>
  <si>
    <t>m^2</t>
  </si>
  <si>
    <t>W-h/day</t>
  </si>
  <si>
    <t>Btu/day</t>
  </si>
  <si>
    <t>Ah/day</t>
  </si>
  <si>
    <t>external volume of freezer</t>
  </si>
  <si>
    <t>internal volume of freezer</t>
  </si>
  <si>
    <t>External Dimensions of:</t>
  </si>
  <si>
    <t>fridge</t>
  </si>
  <si>
    <t>freezer</t>
  </si>
  <si>
    <t>required refridg temp</t>
  </si>
  <si>
    <t>required freezer temp</t>
  </si>
  <si>
    <t>Internal Dimensions of:</t>
  </si>
  <si>
    <t>1  m^3 =</t>
  </si>
  <si>
    <t>k-value insulating material</t>
  </si>
  <si>
    <t>average length of side (s)</t>
  </si>
  <si>
    <t>length (L)</t>
  </si>
  <si>
    <t>total power consumption</t>
  </si>
  <si>
    <t>Fridge efficiency(1)</t>
  </si>
  <si>
    <t>Freezer efficiency(1)</t>
  </si>
  <si>
    <t>(1) Based upon Nigel Calder's rule of thumb that 1 W-h of applied energy extracts 5Btu of heat energy for a fridge and 4 Btu for a freezer.  Further inefficiencies of 10% were also added.</t>
  </si>
  <si>
    <t>height (h)</t>
  </si>
  <si>
    <t>ft^2</t>
  </si>
  <si>
    <t xml:space="preserve"> </t>
  </si>
  <si>
    <t>*1/U-value</t>
  </si>
  <si>
    <t>R-value (US)</t>
  </si>
  <si>
    <t>R-value fridge insulation</t>
  </si>
  <si>
    <t>R-value freezer insulation</t>
  </si>
  <si>
    <t>lbs</t>
  </si>
  <si>
    <t>Btu/lb</t>
  </si>
  <si>
    <t>Btu/lb/degF</t>
  </si>
  <si>
    <t>Fridge Calculation</t>
  </si>
  <si>
    <t>Freezer Calculation</t>
  </si>
  <si>
    <t>latent heat of fusion of fish</t>
  </si>
  <si>
    <t>specific heat of fish</t>
  </si>
  <si>
    <t>specific heat of frozen fish</t>
  </si>
  <si>
    <t>to chill 1 cu ft of fish</t>
  </si>
  <si>
    <t>to freeze 1 cu ft of fish</t>
  </si>
  <si>
    <t>(3) Since the fish swims in water it has approx the same density.</t>
  </si>
  <si>
    <t>1 ft^3 fish = 1 ft^3 water (3)</t>
  </si>
  <si>
    <t>Heat Load Due to Use</t>
  </si>
  <si>
    <t>conduction heat load fridge</t>
  </si>
  <si>
    <t>conduction heat load freezer</t>
  </si>
  <si>
    <t>Fridge recycling</t>
  </si>
  <si>
    <t>per week</t>
  </si>
  <si>
    <t>Freezer recycling</t>
  </si>
  <si>
    <t>totals</t>
  </si>
  <si>
    <t>total</t>
  </si>
  <si>
    <t>ft^2.F.h/BTU</t>
  </si>
  <si>
    <t>food heat load fridge</t>
  </si>
  <si>
    <t>food heat load freezer</t>
  </si>
  <si>
    <t>to chill 1 cu ft of fish from 95 to 32 degF</t>
  </si>
  <si>
    <t>to chill 1 cu ft of fish from 32 to 0 degF</t>
  </si>
  <si>
    <t>internal area of freezer (A)</t>
  </si>
  <si>
    <t>internal area of fridge (A)</t>
  </si>
  <si>
    <t>Cold Box Temp</t>
  </si>
  <si>
    <t>Ambient Temp Readings</t>
  </si>
  <si>
    <t>Temp Difference</t>
  </si>
  <si>
    <t>Date</t>
  </si>
  <si>
    <t>Time</t>
  </si>
  <si>
    <t>Fridge</t>
  </si>
  <si>
    <t>Freezer</t>
  </si>
  <si>
    <t>Max</t>
  </si>
  <si>
    <t>Min</t>
  </si>
  <si>
    <t>Average</t>
  </si>
  <si>
    <t>#hrs</t>
  </si>
  <si>
    <t>Fridge-hours</t>
  </si>
  <si>
    <t>Freezer-hours</t>
  </si>
  <si>
    <t>Duration of experiment (hours)</t>
  </si>
  <si>
    <t>Average Temperature Difference/hour (Fridge)</t>
  </si>
  <si>
    <t>Average Temperature Difference/hour (Freezer)</t>
  </si>
  <si>
    <t>Specific heat of ice</t>
  </si>
  <si>
    <t>kJ/kg/degK</t>
  </si>
  <si>
    <t>Latent heat of fusion of ice</t>
  </si>
  <si>
    <t>kJ/kg</t>
  </si>
  <si>
    <t>1 Watt-hour (W-h)</t>
  </si>
  <si>
    <t>kJ</t>
  </si>
  <si>
    <t>Original Weight of Ice (Fridge)</t>
  </si>
  <si>
    <t>kg</t>
  </si>
  <si>
    <t>Original Weight of Ice (Freezer)</t>
  </si>
  <si>
    <t>Final Weight of Ice (Fridge)</t>
  </si>
  <si>
    <t>Final Weight of Ice (Freezer)</t>
  </si>
  <si>
    <t>W-h</t>
  </si>
  <si>
    <t>Heat energy absorbed by Fridge in a 24 hour period</t>
  </si>
  <si>
    <t>Heat energy absorbed by Freezer in a 24 hour period</t>
  </si>
  <si>
    <t>Heat energy absorbed by Fridge (raising temp of ice to melting point+melting ice)</t>
  </si>
  <si>
    <t>Heat energy absorbed by Freezer (raising temp of ice to melting point+melting ice)</t>
  </si>
  <si>
    <t>Calculation</t>
  </si>
  <si>
    <t>Measurement</t>
  </si>
  <si>
    <t>effective area of freezer (Ae) (2)</t>
  </si>
  <si>
    <t>effective area of fridge (Ae) (2)</t>
  </si>
  <si>
    <t>(2) The 'effective area' is the area used for heat load calculations and takes into account corner effects.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</si>
</sst>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F400]h:mm:ss\ AM/PM"/>
    <numFmt numFmtId="166" formatCode="0.00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0" fontId="0" fillId="0" borderId="0" xfId="0" applyNumberFormat="1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1" fontId="0" fillId="0" borderId="0" xfId="0" applyNumberFormat="1"/>
    <xf numFmtId="1" fontId="0" fillId="0" borderId="7" xfId="0" applyNumberFormat="1" applyBorder="1"/>
    <xf numFmtId="0" fontId="2" fillId="0" borderId="0" xfId="0" applyFont="1"/>
    <xf numFmtId="0" fontId="0" fillId="0" borderId="6" xfId="0" applyFill="1" applyBorder="1"/>
    <xf numFmtId="10" fontId="0" fillId="0" borderId="7" xfId="0" applyNumberFormat="1" applyBorder="1"/>
    <xf numFmtId="0" fontId="0" fillId="0" borderId="8" xfId="0" applyFill="1" applyBorder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0" fontId="0" fillId="0" borderId="1" xfId="0" applyBorder="1" applyAlignment="1">
      <alignment horizontal="center"/>
    </xf>
    <xf numFmtId="0" fontId="0" fillId="2" borderId="4" xfId="0" applyFill="1" applyBorder="1"/>
    <xf numFmtId="164" fontId="0" fillId="2" borderId="0" xfId="0" applyNumberFormat="1" applyFill="1" applyBorder="1"/>
    <xf numFmtId="164" fontId="0" fillId="2" borderId="5" xfId="0" applyNumberFormat="1" applyFill="1" applyBorder="1"/>
    <xf numFmtId="0" fontId="0" fillId="2" borderId="6" xfId="0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0" fontId="1" fillId="0" borderId="4" xfId="0" applyFont="1" applyBorder="1" applyAlignment="1">
      <alignment horizontal="right"/>
    </xf>
    <xf numFmtId="164" fontId="1" fillId="0" borderId="0" xfId="0" applyNumberFormat="1" applyFont="1" applyBorder="1"/>
    <xf numFmtId="164" fontId="1" fillId="0" borderId="5" xfId="0" applyNumberFormat="1" applyFont="1" applyBorder="1"/>
    <xf numFmtId="0" fontId="1" fillId="0" borderId="6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0" fillId="2" borderId="0" xfId="0" applyFill="1" applyBorder="1"/>
    <xf numFmtId="0" fontId="0" fillId="2" borderId="7" xfId="0" applyFill="1" applyBorder="1"/>
    <xf numFmtId="0" fontId="0" fillId="0" borderId="0" xfId="0" applyAlignment="1">
      <alignment wrapText="1"/>
    </xf>
    <xf numFmtId="164" fontId="0" fillId="0" borderId="0" xfId="0" applyNumberFormat="1"/>
    <xf numFmtId="166" fontId="0" fillId="0" borderId="0" xfId="0" applyNumberFormat="1"/>
    <xf numFmtId="2" fontId="0" fillId="0" borderId="0" xfId="0" applyNumberFormat="1" applyBorder="1"/>
    <xf numFmtId="2" fontId="0" fillId="0" borderId="7" xfId="0" applyNumberFormat="1" applyBorder="1"/>
    <xf numFmtId="0" fontId="0" fillId="0" borderId="9" xfId="0" applyBorder="1"/>
    <xf numFmtId="14" fontId="0" fillId="0" borderId="9" xfId="0" applyNumberFormat="1" applyBorder="1"/>
    <xf numFmtId="165" fontId="0" fillId="0" borderId="9" xfId="0" applyNumberFormat="1" applyBorder="1"/>
    <xf numFmtId="20" fontId="0" fillId="0" borderId="9" xfId="0" applyNumberFormat="1" applyBorder="1"/>
    <xf numFmtId="0" fontId="1" fillId="0" borderId="9" xfId="0" applyFont="1" applyBorder="1"/>
    <xf numFmtId="2" fontId="0" fillId="0" borderId="0" xfId="0" applyNumberFormat="1"/>
    <xf numFmtId="2" fontId="1" fillId="0" borderId="0" xfId="0" applyNumberFormat="1" applyFont="1"/>
    <xf numFmtId="0" fontId="1" fillId="0" borderId="4" xfId="0" applyFont="1" applyBorder="1"/>
    <xf numFmtId="0" fontId="0" fillId="0" borderId="9" xfId="0" applyBorder="1" applyAlignment="1">
      <alignment horizontal="center"/>
    </xf>
    <xf numFmtId="0" fontId="1" fillId="2" borderId="9" xfId="0" applyFont="1" applyFill="1" applyBorder="1"/>
    <xf numFmtId="0" fontId="0" fillId="2" borderId="9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Font="1" applyBorder="1"/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"/>
  <sheetViews>
    <sheetView tabSelected="1" workbookViewId="0">
      <selection activeCell="O33" sqref="O33"/>
    </sheetView>
  </sheetViews>
  <sheetFormatPr baseColWidth="10" defaultColWidth="8.83203125" defaultRowHeight="12" x14ac:dyDescent="0"/>
  <cols>
    <col min="2" max="2" width="27.83203125" customWidth="1"/>
    <col min="4" max="4" width="10.6640625" customWidth="1"/>
    <col min="5" max="5" width="10.5" customWidth="1"/>
    <col min="8" max="8" width="12.33203125" customWidth="1"/>
    <col min="9" max="9" width="12.1640625" customWidth="1"/>
  </cols>
  <sheetData>
    <row r="2" spans="1:11">
      <c r="B2" s="3" t="s">
        <v>1</v>
      </c>
      <c r="C2" s="15"/>
      <c r="D2" s="16"/>
      <c r="G2" s="3" t="s">
        <v>32</v>
      </c>
      <c r="H2" s="4"/>
      <c r="I2" s="4"/>
      <c r="J2" s="4" t="s">
        <v>33</v>
      </c>
      <c r="K2" s="5" t="s">
        <v>34</v>
      </c>
    </row>
    <row r="3" spans="1:11">
      <c r="B3" s="6" t="s">
        <v>38</v>
      </c>
      <c r="C3" s="7">
        <v>35.31</v>
      </c>
      <c r="D3" s="10" t="s">
        <v>21</v>
      </c>
      <c r="G3" s="6"/>
      <c r="H3" s="7"/>
      <c r="I3" s="7"/>
      <c r="J3" s="8" t="s">
        <v>0</v>
      </c>
      <c r="K3" s="9" t="s">
        <v>0</v>
      </c>
    </row>
    <row r="4" spans="1:11">
      <c r="B4" s="6" t="s">
        <v>16</v>
      </c>
      <c r="C4" s="7">
        <v>125</v>
      </c>
      <c r="D4" s="10" t="s">
        <v>0</v>
      </c>
      <c r="G4" s="6" t="s">
        <v>2</v>
      </c>
      <c r="H4" s="7"/>
      <c r="I4" s="7"/>
      <c r="J4" s="7">
        <v>500</v>
      </c>
      <c r="K4" s="10">
        <v>620</v>
      </c>
    </row>
    <row r="5" spans="1:11">
      <c r="B5" s="6" t="s">
        <v>17</v>
      </c>
      <c r="C5" s="7">
        <v>150</v>
      </c>
      <c r="D5" s="10" t="s">
        <v>0</v>
      </c>
      <c r="G5" s="6" t="s">
        <v>3</v>
      </c>
      <c r="H5" s="7"/>
      <c r="I5" s="7"/>
      <c r="J5" s="67">
        <v>500</v>
      </c>
      <c r="K5" s="10">
        <v>620</v>
      </c>
    </row>
    <row r="6" spans="1:11">
      <c r="B6" s="6" t="s">
        <v>39</v>
      </c>
      <c r="C6" s="7">
        <v>2.3E-2</v>
      </c>
      <c r="D6" s="10" t="s">
        <v>4</v>
      </c>
      <c r="G6" s="6" t="s">
        <v>5</v>
      </c>
      <c r="H6" s="7"/>
      <c r="I6" s="7"/>
      <c r="J6" s="7">
        <v>620</v>
      </c>
      <c r="K6" s="10">
        <v>655</v>
      </c>
    </row>
    <row r="7" spans="1:11">
      <c r="B7" s="6" t="s">
        <v>18</v>
      </c>
      <c r="C7" s="7">
        <f>C6*1000/C4</f>
        <v>0.184</v>
      </c>
      <c r="D7" s="10" t="s">
        <v>6</v>
      </c>
      <c r="G7" s="6" t="s">
        <v>7</v>
      </c>
      <c r="H7" s="7"/>
      <c r="I7" s="7"/>
      <c r="J7" s="7">
        <v>620</v>
      </c>
      <c r="K7" s="10">
        <v>655</v>
      </c>
    </row>
    <row r="8" spans="1:11">
      <c r="B8" s="6" t="s">
        <v>19</v>
      </c>
      <c r="C8" s="7">
        <f>C6*1000/C5</f>
        <v>0.15333333333333332</v>
      </c>
      <c r="D8" s="10" t="s">
        <v>6</v>
      </c>
      <c r="G8" s="6" t="s">
        <v>8</v>
      </c>
      <c r="H8" s="7"/>
      <c r="I8" s="7"/>
      <c r="J8" s="7">
        <f>(J4+J6)/2</f>
        <v>560</v>
      </c>
      <c r="K8" s="10">
        <f>(K4+K6)/2</f>
        <v>637.5</v>
      </c>
    </row>
    <row r="9" spans="1:11">
      <c r="A9" t="s">
        <v>48</v>
      </c>
      <c r="B9" s="18" t="s">
        <v>50</v>
      </c>
      <c r="C9" s="19">
        <v>5.6820000000000004</v>
      </c>
      <c r="D9" s="20" t="s">
        <v>49</v>
      </c>
      <c r="G9" s="6" t="s">
        <v>10</v>
      </c>
      <c r="H9" s="7"/>
      <c r="I9" s="7"/>
      <c r="J9" s="7">
        <f>(J5+J7)/2</f>
        <v>560</v>
      </c>
      <c r="K9" s="10">
        <f>(K5+K7)/2</f>
        <v>637.5</v>
      </c>
    </row>
    <row r="10" spans="1:11">
      <c r="B10" s="18" t="s">
        <v>51</v>
      </c>
      <c r="C10" s="7">
        <f>C9/C7</f>
        <v>30.880434782608699</v>
      </c>
      <c r="D10" s="20" t="s">
        <v>73</v>
      </c>
      <c r="G10" s="6" t="s">
        <v>41</v>
      </c>
      <c r="H10" s="7"/>
      <c r="I10" s="7"/>
      <c r="J10" s="7">
        <v>980</v>
      </c>
      <c r="K10" s="10">
        <v>950</v>
      </c>
    </row>
    <row r="11" spans="1:11">
      <c r="B11" s="18" t="s">
        <v>52</v>
      </c>
      <c r="C11" s="7">
        <f>C9/C8</f>
        <v>37.056521739130439</v>
      </c>
      <c r="D11" s="20" t="s">
        <v>73</v>
      </c>
      <c r="G11" s="6" t="s">
        <v>46</v>
      </c>
      <c r="H11" s="7"/>
      <c r="I11" s="7"/>
      <c r="J11" s="7">
        <v>562</v>
      </c>
      <c r="K11" s="10">
        <v>660</v>
      </c>
    </row>
    <row r="12" spans="1:11">
      <c r="B12" s="6" t="s">
        <v>35</v>
      </c>
      <c r="C12" s="7">
        <v>5</v>
      </c>
      <c r="D12" s="10" t="s">
        <v>9</v>
      </c>
      <c r="G12" s="11" t="s">
        <v>40</v>
      </c>
      <c r="H12" s="12"/>
      <c r="I12" s="12"/>
      <c r="J12" s="12">
        <f>(((J8-J9)/2)^2+J11^2)^0.5</f>
        <v>562</v>
      </c>
      <c r="K12" s="13">
        <f>(((K8-K9)/2)^2+K11^2)^0.5</f>
        <v>660</v>
      </c>
    </row>
    <row r="13" spans="1:11">
      <c r="B13" s="6" t="s">
        <v>36</v>
      </c>
      <c r="C13" s="7">
        <v>-18</v>
      </c>
      <c r="D13" s="10" t="s">
        <v>9</v>
      </c>
    </row>
    <row r="14" spans="1:11">
      <c r="B14" s="6" t="s">
        <v>11</v>
      </c>
      <c r="C14" s="7">
        <v>35</v>
      </c>
      <c r="D14" s="10" t="s">
        <v>9</v>
      </c>
      <c r="G14" s="3" t="s">
        <v>37</v>
      </c>
      <c r="H14" s="4"/>
      <c r="I14" s="4"/>
      <c r="J14" s="4" t="s">
        <v>33</v>
      </c>
      <c r="K14" s="5" t="s">
        <v>34</v>
      </c>
    </row>
    <row r="15" spans="1:11">
      <c r="B15" s="6" t="s">
        <v>12</v>
      </c>
      <c r="C15" s="7">
        <v>12</v>
      </c>
      <c r="D15" s="10" t="s">
        <v>13</v>
      </c>
      <c r="G15" s="14"/>
      <c r="H15" s="8"/>
      <c r="I15" s="8"/>
      <c r="J15" s="8" t="s">
        <v>0</v>
      </c>
      <c r="K15" s="9" t="s">
        <v>0</v>
      </c>
    </row>
    <row r="16" spans="1:11">
      <c r="B16" s="6" t="s">
        <v>14</v>
      </c>
      <c r="C16" s="7">
        <v>3.4129999999999998</v>
      </c>
      <c r="D16" s="10" t="s">
        <v>15</v>
      </c>
      <c r="G16" s="6" t="s">
        <v>2</v>
      </c>
      <c r="H16" s="7"/>
      <c r="I16" s="7"/>
      <c r="J16" s="7">
        <f>J4-C4*2</f>
        <v>250</v>
      </c>
      <c r="K16" s="10">
        <f>K4-C5*2</f>
        <v>320</v>
      </c>
    </row>
    <row r="17" spans="2:11">
      <c r="B17" s="6" t="s">
        <v>43</v>
      </c>
      <c r="C17" s="17">
        <f>5/C16-0.1</f>
        <v>1.3649868151186639</v>
      </c>
      <c r="D17" s="10"/>
      <c r="G17" s="6" t="s">
        <v>3</v>
      </c>
      <c r="H17" s="7"/>
      <c r="I17" s="7"/>
      <c r="J17" s="7">
        <f>J5-C4*2</f>
        <v>250</v>
      </c>
      <c r="K17" s="10">
        <f>K5-C5*2</f>
        <v>320</v>
      </c>
    </row>
    <row r="18" spans="2:11">
      <c r="B18" s="11" t="s">
        <v>44</v>
      </c>
      <c r="C18" s="25">
        <f>4/C16-0.1</f>
        <v>1.0719894520949311</v>
      </c>
      <c r="D18" s="13"/>
      <c r="G18" s="6" t="s">
        <v>5</v>
      </c>
      <c r="H18" s="7"/>
      <c r="I18" s="7"/>
      <c r="J18" s="7">
        <f>J6-C4*2</f>
        <v>370</v>
      </c>
      <c r="K18" s="10">
        <f>K6-C5*2</f>
        <v>355</v>
      </c>
    </row>
    <row r="19" spans="2:11">
      <c r="G19" s="6" t="s">
        <v>7</v>
      </c>
      <c r="H19" s="7"/>
      <c r="I19" s="7"/>
      <c r="J19" s="7">
        <f>J7-C4*2</f>
        <v>370</v>
      </c>
      <c r="K19" s="10">
        <f>K7-C5*2</f>
        <v>355</v>
      </c>
    </row>
    <row r="20" spans="2:11">
      <c r="B20" s="28"/>
      <c r="C20" s="29" t="s">
        <v>26</v>
      </c>
      <c r="D20" s="30" t="s">
        <v>47</v>
      </c>
      <c r="G20" s="6" t="s">
        <v>8</v>
      </c>
      <c r="H20" s="7"/>
      <c r="I20" s="7"/>
      <c r="J20" s="7">
        <f>J8-C4*2</f>
        <v>310</v>
      </c>
      <c r="K20" s="10">
        <f>K8-C5*2</f>
        <v>337.5</v>
      </c>
    </row>
    <row r="21" spans="2:11" s="1" customFormat="1">
      <c r="B21" s="6" t="s">
        <v>78</v>
      </c>
      <c r="C21" s="52">
        <f>(2*K24*K22+(K20+K21)*K23+K20*K22+K21*K22)/10^6</f>
        <v>1.14975</v>
      </c>
      <c r="D21" s="32">
        <f>C21*((100/(12*2.54))^2)</f>
        <v>12.375806001612006</v>
      </c>
      <c r="E21"/>
      <c r="G21" s="6" t="s">
        <v>10</v>
      </c>
      <c r="H21" s="7"/>
      <c r="I21" s="7"/>
      <c r="J21" s="7">
        <f>J9-C4*2</f>
        <v>310</v>
      </c>
      <c r="K21" s="10">
        <f>K9-C5*2</f>
        <v>337.5</v>
      </c>
    </row>
    <row r="22" spans="2:11">
      <c r="B22" s="6" t="s">
        <v>79</v>
      </c>
      <c r="C22" s="52">
        <f>(2*J24*J22+J23*(J20+J21)+J20*J22+J21*J22)/10^6</f>
        <v>1.1015600000000001</v>
      </c>
      <c r="D22" s="32">
        <f>C22*(100/(12*2.54))^2</f>
        <v>11.857093158630764</v>
      </c>
      <c r="G22" s="6" t="s">
        <v>41</v>
      </c>
      <c r="H22" s="7"/>
      <c r="I22" s="7"/>
      <c r="J22" s="7">
        <f>J10-C4*2</f>
        <v>730</v>
      </c>
      <c r="K22" s="10">
        <f>K10-C5*2</f>
        <v>650</v>
      </c>
    </row>
    <row r="23" spans="2:11">
      <c r="B23" s="6" t="s">
        <v>114</v>
      </c>
      <c r="C23" s="52">
        <f>C21^0.5*(C21^0.5+C5/1000)</f>
        <v>1.3105895940059538</v>
      </c>
      <c r="D23" s="32">
        <f t="shared" ref="D23:D24" si="0">C23*(100/(12*2.54))^2</f>
        <v>14.107068982952054</v>
      </c>
      <c r="G23" s="6" t="s">
        <v>46</v>
      </c>
      <c r="H23" s="7"/>
      <c r="I23" s="7"/>
      <c r="J23" s="7">
        <f>J11-C4*2</f>
        <v>312</v>
      </c>
      <c r="K23" s="10">
        <f>K11-C5*2</f>
        <v>360</v>
      </c>
    </row>
    <row r="24" spans="2:11">
      <c r="B24" s="11" t="s">
        <v>115</v>
      </c>
      <c r="C24" s="53">
        <f>C22^0.5*(C22^0.5+C4/1000)</f>
        <v>1.232754035687603</v>
      </c>
      <c r="D24" s="33">
        <f t="shared" si="0"/>
        <v>13.269254005978741</v>
      </c>
      <c r="G24" s="11" t="s">
        <v>20</v>
      </c>
      <c r="H24" s="12"/>
      <c r="I24" s="12"/>
      <c r="J24" s="12">
        <f>(((J20-J21)/2)^2+J23^2)^0.5</f>
        <v>312</v>
      </c>
      <c r="K24" s="13">
        <f>(((K20-K21)/2)^2+K23^2)^0.5</f>
        <v>360</v>
      </c>
    </row>
    <row r="26" spans="2:11">
      <c r="B26" s="28"/>
      <c r="C26" s="15" t="s">
        <v>27</v>
      </c>
      <c r="D26" s="15" t="s">
        <v>28</v>
      </c>
      <c r="E26" s="16" t="s">
        <v>29</v>
      </c>
      <c r="G26" s="34"/>
      <c r="H26" s="15"/>
      <c r="I26" s="29" t="s">
        <v>23</v>
      </c>
      <c r="J26" s="29" t="s">
        <v>21</v>
      </c>
      <c r="K26" s="30" t="s">
        <v>22</v>
      </c>
    </row>
    <row r="27" spans="2:11">
      <c r="B27" s="61" t="s">
        <v>66</v>
      </c>
      <c r="C27" s="42">
        <f>(C24*C7*(C14-C12))*24</f>
        <v>163.31525464789365</v>
      </c>
      <c r="D27" s="31">
        <f>C27*C16</f>
        <v>557.39496411326104</v>
      </c>
      <c r="E27" s="32">
        <f>C27/C15/C17</f>
        <v>9.970502574274315</v>
      </c>
      <c r="G27" s="6" t="s">
        <v>25</v>
      </c>
      <c r="H27" s="7"/>
      <c r="I27" s="31">
        <f>J10*J11*(J8+J9)/(2*10^9)</f>
        <v>0.30842560000000002</v>
      </c>
      <c r="J27" s="31">
        <f>I27*C3</f>
        <v>10.890507936000002</v>
      </c>
      <c r="K27" s="32">
        <f>I27*10^3</f>
        <v>308.42560000000003</v>
      </c>
    </row>
    <row r="28" spans="2:11">
      <c r="B28" s="6" t="s">
        <v>74</v>
      </c>
      <c r="C28" s="31">
        <f>D28/C16</f>
        <v>74.241531286978372</v>
      </c>
      <c r="D28" s="31">
        <f>J43*J28*C47/7</f>
        <v>253.38634628245717</v>
      </c>
      <c r="E28" s="32">
        <f>C28/12/C17</f>
        <v>4.5324937980276534</v>
      </c>
      <c r="G28" s="35" t="s">
        <v>24</v>
      </c>
      <c r="H28" s="47"/>
      <c r="I28" s="36">
        <f>J22*J23*(J20+J21)/(2*10^9)</f>
        <v>7.0605600000000004E-2</v>
      </c>
      <c r="J28" s="36">
        <f>I28*C3</f>
        <v>2.4930837360000004</v>
      </c>
      <c r="K28" s="37">
        <f>I28*10^3</f>
        <v>70.60560000000001</v>
      </c>
    </row>
    <row r="29" spans="2:11">
      <c r="B29" s="41" t="s">
        <v>71</v>
      </c>
      <c r="C29" s="42">
        <f>C27+C28</f>
        <v>237.55678593487204</v>
      </c>
      <c r="D29" s="42">
        <f t="shared" ref="D29:E29" si="1">D27+D28</f>
        <v>810.78131039571826</v>
      </c>
      <c r="E29" s="43">
        <f t="shared" si="1"/>
        <v>14.502996372301968</v>
      </c>
      <c r="G29" s="6" t="s">
        <v>30</v>
      </c>
      <c r="H29" s="7"/>
      <c r="I29" s="31">
        <f>K10*K11*(K8+K9)/(2*10^9)</f>
        <v>0.39971250000000003</v>
      </c>
      <c r="J29" s="31">
        <f>I29*C3</f>
        <v>14.113848375000002</v>
      </c>
      <c r="K29" s="32">
        <f>I29*10^3</f>
        <v>399.71250000000003</v>
      </c>
    </row>
    <row r="30" spans="2:11">
      <c r="B30" s="61" t="s">
        <v>67</v>
      </c>
      <c r="C30" s="42">
        <f>C23*C8*(C14-C13)*24</f>
        <v>255.61739441492122</v>
      </c>
      <c r="D30" s="31">
        <f>C30*C16</f>
        <v>872.42216713812604</v>
      </c>
      <c r="E30" s="32">
        <f>C30/C15/C17</f>
        <v>15.605608273018333</v>
      </c>
      <c r="G30" s="38" t="s">
        <v>31</v>
      </c>
      <c r="H30" s="48"/>
      <c r="I30" s="39">
        <f>K22*K23*(K20+K21)/(2*10^9)</f>
        <v>7.8975000000000004E-2</v>
      </c>
      <c r="J30" s="39">
        <f>I30*C3</f>
        <v>2.7886072500000001</v>
      </c>
      <c r="K30" s="40">
        <f>I30*10^3</f>
        <v>78.975000000000009</v>
      </c>
    </row>
    <row r="31" spans="2:11">
      <c r="B31" s="6" t="s">
        <v>75</v>
      </c>
      <c r="C31" s="31">
        <f>D31/C16</f>
        <v>267.47966840648786</v>
      </c>
      <c r="D31" s="31">
        <f>J49*J30*C48/7</f>
        <v>912.90810827134294</v>
      </c>
      <c r="E31" s="32">
        <f>C31/12/C18</f>
        <v>20.793089263749035</v>
      </c>
    </row>
    <row r="32" spans="2:11">
      <c r="B32" s="41" t="s">
        <v>71</v>
      </c>
      <c r="C32" s="42">
        <f>C30+C31</f>
        <v>523.09706282140905</v>
      </c>
      <c r="D32" s="42">
        <f t="shared" ref="D32:E32" si="2">D30+D31</f>
        <v>1785.3302754094689</v>
      </c>
      <c r="E32" s="43">
        <f t="shared" si="2"/>
        <v>36.398697536767372</v>
      </c>
    </row>
    <row r="33" spans="2:11">
      <c r="B33" s="6"/>
      <c r="C33" s="31"/>
      <c r="D33" s="31"/>
      <c r="E33" s="32"/>
    </row>
    <row r="34" spans="2:11">
      <c r="B34" s="44" t="s">
        <v>42</v>
      </c>
      <c r="C34" s="45">
        <f>C29+C32</f>
        <v>760.65384875628115</v>
      </c>
      <c r="D34" s="45">
        <f t="shared" ref="D34:E34" si="3">D29+D32</f>
        <v>2596.1115858051871</v>
      </c>
      <c r="E34" s="46">
        <f t="shared" si="3"/>
        <v>50.901693909069337</v>
      </c>
    </row>
    <row r="36" spans="2:11" ht="25.75" customHeight="1">
      <c r="B36" s="68" t="s">
        <v>45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2:11">
      <c r="B37" t="s">
        <v>116</v>
      </c>
    </row>
    <row r="38" spans="2:11">
      <c r="B38" t="s">
        <v>63</v>
      </c>
    </row>
    <row r="39" spans="2:11">
      <c r="B39" s="2"/>
    </row>
    <row r="40" spans="2:11">
      <c r="G40" s="23" t="s">
        <v>65</v>
      </c>
    </row>
    <row r="41" spans="2:11">
      <c r="G41" s="23"/>
    </row>
    <row r="42" spans="2:11">
      <c r="B42" s="3" t="s">
        <v>1</v>
      </c>
      <c r="C42" s="15"/>
      <c r="D42" s="16"/>
      <c r="G42" s="2" t="s">
        <v>56</v>
      </c>
    </row>
    <row r="43" spans="2:11">
      <c r="B43" s="6" t="s">
        <v>64</v>
      </c>
      <c r="C43" s="7">
        <v>62</v>
      </c>
      <c r="D43" s="10" t="s">
        <v>53</v>
      </c>
      <c r="G43" t="s">
        <v>61</v>
      </c>
      <c r="J43">
        <f>((C14-C12)*9/5)*C45*C43</f>
        <v>2845.7999999999997</v>
      </c>
      <c r="K43" t="s">
        <v>15</v>
      </c>
    </row>
    <row r="44" spans="2:11">
      <c r="B44" s="6" t="s">
        <v>58</v>
      </c>
      <c r="C44" s="7">
        <v>117</v>
      </c>
      <c r="D44" s="10" t="s">
        <v>54</v>
      </c>
    </row>
    <row r="45" spans="2:11">
      <c r="B45" s="6" t="s">
        <v>59</v>
      </c>
      <c r="C45" s="7">
        <v>0.85</v>
      </c>
      <c r="D45" s="10" t="s">
        <v>55</v>
      </c>
      <c r="G45" s="2" t="s">
        <v>57</v>
      </c>
    </row>
    <row r="46" spans="2:11" ht="13.25" customHeight="1">
      <c r="B46" s="6" t="s">
        <v>60</v>
      </c>
      <c r="C46" s="7">
        <v>0.44</v>
      </c>
      <c r="D46" s="10" t="s">
        <v>55</v>
      </c>
      <c r="G46" s="49" t="s">
        <v>76</v>
      </c>
      <c r="H46" s="49"/>
      <c r="I46" s="49"/>
      <c r="J46" s="21">
        <f>C14*9/5*C45*C43</f>
        <v>3320.1</v>
      </c>
      <c r="K46" t="s">
        <v>15</v>
      </c>
    </row>
    <row r="47" spans="2:11" ht="12" customHeight="1">
      <c r="B47" s="18" t="s">
        <v>68</v>
      </c>
      <c r="C47" s="17">
        <v>0.25</v>
      </c>
      <c r="D47" s="20" t="s">
        <v>69</v>
      </c>
      <c r="G47" t="s">
        <v>62</v>
      </c>
      <c r="J47" s="21">
        <f>C43*C44</f>
        <v>7254</v>
      </c>
      <c r="K47" t="s">
        <v>15</v>
      </c>
    </row>
    <row r="48" spans="2:11">
      <c r="B48" s="24" t="s">
        <v>70</v>
      </c>
      <c r="C48" s="25">
        <v>0.2</v>
      </c>
      <c r="D48" s="26" t="s">
        <v>69</v>
      </c>
      <c r="G48" t="s">
        <v>77</v>
      </c>
      <c r="J48" s="22">
        <f>(-C13*9/5)*C46*C43</f>
        <v>883.87200000000007</v>
      </c>
      <c r="K48" t="s">
        <v>15</v>
      </c>
    </row>
    <row r="49" spans="9:10">
      <c r="I49" s="27" t="s">
        <v>72</v>
      </c>
      <c r="J49" s="21">
        <f>SUM(J46:J48)</f>
        <v>11457.972</v>
      </c>
    </row>
  </sheetData>
  <mergeCells count="1">
    <mergeCell ref="B36:K3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O54"/>
  <sheetViews>
    <sheetView topLeftCell="B32" workbookViewId="0">
      <selection activeCell="F51" sqref="F51:H54"/>
    </sheetView>
  </sheetViews>
  <sheetFormatPr baseColWidth="10" defaultColWidth="8.83203125" defaultRowHeight="12" x14ac:dyDescent="0"/>
  <cols>
    <col min="3" max="3" width="6" customWidth="1"/>
    <col min="4" max="4" width="10.5" customWidth="1"/>
    <col min="5" max="5" width="9.5" customWidth="1"/>
    <col min="6" max="6" width="13" customWidth="1"/>
    <col min="7" max="7" width="12.33203125" customWidth="1"/>
    <col min="8" max="8" width="12.83203125" customWidth="1"/>
    <col min="14" max="14" width="11.83203125" customWidth="1"/>
    <col min="15" max="15" width="12.5" customWidth="1"/>
  </cols>
  <sheetData>
    <row r="4" spans="4:15">
      <c r="D4" s="58"/>
      <c r="E4" s="58"/>
      <c r="F4" s="69" t="s">
        <v>80</v>
      </c>
      <c r="G4" s="69"/>
      <c r="H4" s="69" t="s">
        <v>81</v>
      </c>
      <c r="I4" s="69"/>
      <c r="J4" s="69"/>
      <c r="K4" s="69" t="s">
        <v>82</v>
      </c>
      <c r="L4" s="69"/>
      <c r="M4" s="58"/>
      <c r="N4" s="58"/>
      <c r="O4" s="58"/>
    </row>
    <row r="5" spans="4:15">
      <c r="D5" s="58" t="s">
        <v>83</v>
      </c>
      <c r="E5" s="58" t="s">
        <v>84</v>
      </c>
      <c r="F5" s="58" t="s">
        <v>85</v>
      </c>
      <c r="G5" s="58" t="s">
        <v>86</v>
      </c>
      <c r="H5" s="58" t="s">
        <v>87</v>
      </c>
      <c r="I5" s="58" t="s">
        <v>88</v>
      </c>
      <c r="J5" s="58" t="s">
        <v>89</v>
      </c>
      <c r="K5" s="58" t="s">
        <v>85</v>
      </c>
      <c r="L5" s="58" t="s">
        <v>86</v>
      </c>
      <c r="M5" s="58" t="s">
        <v>90</v>
      </c>
      <c r="N5" s="58" t="s">
        <v>91</v>
      </c>
      <c r="O5" s="58" t="s">
        <v>92</v>
      </c>
    </row>
    <row r="6" spans="4:15">
      <c r="D6" s="55">
        <v>41277</v>
      </c>
      <c r="E6" s="56">
        <v>0.5</v>
      </c>
      <c r="F6" s="54">
        <v>-10</v>
      </c>
      <c r="G6" s="54">
        <v>-15.1</v>
      </c>
      <c r="H6" s="54">
        <v>13</v>
      </c>
      <c r="I6" s="54">
        <v>13</v>
      </c>
      <c r="J6" s="54">
        <f>(H6+I6)/2</f>
        <v>13</v>
      </c>
      <c r="K6" s="54">
        <f>J6-F6</f>
        <v>23</v>
      </c>
      <c r="L6" s="54">
        <f>J6-G6</f>
        <v>28.1</v>
      </c>
      <c r="M6" s="54">
        <v>1</v>
      </c>
      <c r="N6" s="54">
        <f>K6*M6</f>
        <v>23</v>
      </c>
      <c r="O6" s="54">
        <f>L6*M6</f>
        <v>28.1</v>
      </c>
    </row>
    <row r="7" spans="4:15">
      <c r="D7" s="54"/>
      <c r="E7" s="56">
        <f>E6+TIME(1,0,0)</f>
        <v>0.54166666666666663</v>
      </c>
      <c r="F7" s="54">
        <v>-8.8000000000000007</v>
      </c>
      <c r="G7" s="54">
        <v>-11.4</v>
      </c>
      <c r="H7" s="54">
        <v>13</v>
      </c>
      <c r="I7" s="54">
        <v>13</v>
      </c>
      <c r="J7" s="54">
        <f t="shared" ref="J7:J31" si="0">(H7+I7)/2</f>
        <v>13</v>
      </c>
      <c r="K7" s="54">
        <f t="shared" ref="K7:K31" si="1">J7-F7</f>
        <v>21.8</v>
      </c>
      <c r="L7" s="54">
        <f t="shared" ref="L7:L31" si="2">J7-G7</f>
        <v>24.4</v>
      </c>
      <c r="M7" s="54">
        <v>1</v>
      </c>
      <c r="N7" s="54">
        <f t="shared" ref="N7:N31" si="3">K7*M7</f>
        <v>21.8</v>
      </c>
      <c r="O7" s="54">
        <f t="shared" ref="O7:O31" si="4">L7*M7</f>
        <v>24.4</v>
      </c>
    </row>
    <row r="8" spans="4:15">
      <c r="D8" s="54"/>
      <c r="E8" s="56">
        <f t="shared" ref="E8:E11" si="5">E7+TIME(1,0,0)</f>
        <v>0.58333333333333326</v>
      </c>
      <c r="F8" s="54">
        <v>-6.7</v>
      </c>
      <c r="G8" s="54">
        <v>-8.6999999999999993</v>
      </c>
      <c r="H8" s="54">
        <v>13</v>
      </c>
      <c r="I8" s="54">
        <v>13</v>
      </c>
      <c r="J8" s="54">
        <f t="shared" si="0"/>
        <v>13</v>
      </c>
      <c r="K8" s="54">
        <f t="shared" si="1"/>
        <v>19.7</v>
      </c>
      <c r="L8" s="54">
        <f t="shared" si="2"/>
        <v>21.7</v>
      </c>
      <c r="M8" s="54">
        <v>1</v>
      </c>
      <c r="N8" s="54">
        <f t="shared" si="3"/>
        <v>19.7</v>
      </c>
      <c r="O8" s="54">
        <f t="shared" si="4"/>
        <v>21.7</v>
      </c>
    </row>
    <row r="9" spans="4:15">
      <c r="D9" s="54"/>
      <c r="E9" s="56">
        <f t="shared" si="5"/>
        <v>0.62499999999999989</v>
      </c>
      <c r="F9" s="54">
        <v>-4.9000000000000004</v>
      </c>
      <c r="G9" s="54">
        <v>-6.8</v>
      </c>
      <c r="H9" s="54">
        <v>13</v>
      </c>
      <c r="I9" s="54">
        <v>13</v>
      </c>
      <c r="J9" s="54">
        <f t="shared" si="0"/>
        <v>13</v>
      </c>
      <c r="K9" s="54">
        <f t="shared" si="1"/>
        <v>17.899999999999999</v>
      </c>
      <c r="L9" s="54">
        <f t="shared" si="2"/>
        <v>19.8</v>
      </c>
      <c r="M9" s="54">
        <v>1</v>
      </c>
      <c r="N9" s="54">
        <f t="shared" si="3"/>
        <v>17.899999999999999</v>
      </c>
      <c r="O9" s="54">
        <f t="shared" si="4"/>
        <v>19.8</v>
      </c>
    </row>
    <row r="10" spans="4:15">
      <c r="D10" s="54"/>
      <c r="E10" s="56">
        <f t="shared" si="5"/>
        <v>0.66666666666666652</v>
      </c>
      <c r="F10" s="54">
        <v>-3.5</v>
      </c>
      <c r="G10" s="54">
        <v>-5.2</v>
      </c>
      <c r="H10" s="54">
        <v>13</v>
      </c>
      <c r="I10" s="54">
        <v>13</v>
      </c>
      <c r="J10" s="54">
        <f t="shared" si="0"/>
        <v>13</v>
      </c>
      <c r="K10" s="54">
        <f t="shared" si="1"/>
        <v>16.5</v>
      </c>
      <c r="L10" s="54">
        <f t="shared" si="2"/>
        <v>18.2</v>
      </c>
      <c r="M10" s="54">
        <v>1</v>
      </c>
      <c r="N10" s="54">
        <f t="shared" si="3"/>
        <v>16.5</v>
      </c>
      <c r="O10" s="54">
        <f t="shared" si="4"/>
        <v>18.2</v>
      </c>
    </row>
    <row r="11" spans="4:15">
      <c r="D11" s="54"/>
      <c r="E11" s="56">
        <f t="shared" si="5"/>
        <v>0.70833333333333315</v>
      </c>
      <c r="F11" s="54">
        <v>-2.2000000000000002</v>
      </c>
      <c r="G11" s="54">
        <v>-3.9</v>
      </c>
      <c r="H11" s="54">
        <v>12</v>
      </c>
      <c r="I11" s="54">
        <v>12</v>
      </c>
      <c r="J11" s="54">
        <f t="shared" si="0"/>
        <v>12</v>
      </c>
      <c r="K11" s="54">
        <f t="shared" si="1"/>
        <v>14.2</v>
      </c>
      <c r="L11" s="54">
        <f t="shared" si="2"/>
        <v>15.9</v>
      </c>
      <c r="M11" s="54">
        <v>1</v>
      </c>
      <c r="N11" s="54">
        <f t="shared" si="3"/>
        <v>14.2</v>
      </c>
      <c r="O11" s="54">
        <f t="shared" si="4"/>
        <v>15.9</v>
      </c>
    </row>
    <row r="12" spans="4:15">
      <c r="D12" s="55">
        <v>41278</v>
      </c>
      <c r="E12" s="56">
        <v>0.30555555555555552</v>
      </c>
      <c r="F12" s="54">
        <v>2.8</v>
      </c>
      <c r="G12" s="54">
        <v>1.8</v>
      </c>
      <c r="H12" s="54">
        <v>15</v>
      </c>
      <c r="I12" s="54">
        <v>9</v>
      </c>
      <c r="J12" s="54">
        <f t="shared" si="0"/>
        <v>12</v>
      </c>
      <c r="K12" s="54">
        <f t="shared" si="1"/>
        <v>9.1999999999999993</v>
      </c>
      <c r="L12" s="54">
        <f t="shared" si="2"/>
        <v>10.199999999999999</v>
      </c>
      <c r="M12" s="54">
        <v>14.33</v>
      </c>
      <c r="N12" s="54">
        <f t="shared" si="3"/>
        <v>131.83599999999998</v>
      </c>
      <c r="O12" s="54">
        <f t="shared" si="4"/>
        <v>146.166</v>
      </c>
    </row>
    <row r="13" spans="4:15">
      <c r="D13" s="54"/>
      <c r="E13" s="56">
        <f>E12+TIME(1,40,0)</f>
        <v>0.37499999999999994</v>
      </c>
      <c r="F13" s="54">
        <v>2.8</v>
      </c>
      <c r="G13" s="54">
        <v>1.8</v>
      </c>
      <c r="H13" s="54">
        <v>9</v>
      </c>
      <c r="I13" s="54">
        <v>9</v>
      </c>
      <c r="J13" s="54">
        <f t="shared" si="0"/>
        <v>9</v>
      </c>
      <c r="K13" s="54">
        <f t="shared" si="1"/>
        <v>6.2</v>
      </c>
      <c r="L13" s="54">
        <f t="shared" si="2"/>
        <v>7.2</v>
      </c>
      <c r="M13" s="54">
        <v>1.67</v>
      </c>
      <c r="N13" s="54">
        <f t="shared" si="3"/>
        <v>10.353999999999999</v>
      </c>
      <c r="O13" s="54">
        <f t="shared" si="4"/>
        <v>12.023999999999999</v>
      </c>
    </row>
    <row r="14" spans="4:15">
      <c r="D14" s="54"/>
      <c r="E14" s="56">
        <f>E13+TIME(1,0,0)</f>
        <v>0.41666666666666663</v>
      </c>
      <c r="F14" s="54">
        <v>2.8</v>
      </c>
      <c r="G14" s="54">
        <v>1.8</v>
      </c>
      <c r="H14" s="54">
        <v>11</v>
      </c>
      <c r="I14" s="54">
        <v>11</v>
      </c>
      <c r="J14" s="54">
        <f t="shared" si="0"/>
        <v>11</v>
      </c>
      <c r="K14" s="54">
        <f t="shared" si="1"/>
        <v>8.1999999999999993</v>
      </c>
      <c r="L14" s="54">
        <f t="shared" si="2"/>
        <v>9.1999999999999993</v>
      </c>
      <c r="M14" s="54">
        <v>1</v>
      </c>
      <c r="N14" s="54">
        <f t="shared" si="3"/>
        <v>8.1999999999999993</v>
      </c>
      <c r="O14" s="54">
        <f t="shared" si="4"/>
        <v>9.1999999999999993</v>
      </c>
    </row>
    <row r="15" spans="4:15">
      <c r="D15" s="54"/>
      <c r="E15" s="56">
        <f t="shared" ref="E15:E21" si="6">E14+TIME(1,0,0)</f>
        <v>0.45833333333333331</v>
      </c>
      <c r="F15" s="54">
        <v>2.8</v>
      </c>
      <c r="G15" s="54">
        <v>1.8</v>
      </c>
      <c r="H15" s="54">
        <v>13</v>
      </c>
      <c r="I15" s="54">
        <v>13</v>
      </c>
      <c r="J15" s="54">
        <f t="shared" si="0"/>
        <v>13</v>
      </c>
      <c r="K15" s="54">
        <f t="shared" si="1"/>
        <v>10.199999999999999</v>
      </c>
      <c r="L15" s="54">
        <f t="shared" si="2"/>
        <v>11.2</v>
      </c>
      <c r="M15" s="54">
        <v>1</v>
      </c>
      <c r="N15" s="54">
        <f t="shared" si="3"/>
        <v>10.199999999999999</v>
      </c>
      <c r="O15" s="54">
        <f t="shared" si="4"/>
        <v>11.2</v>
      </c>
    </row>
    <row r="16" spans="4:15">
      <c r="D16" s="54"/>
      <c r="E16" s="56">
        <f t="shared" si="6"/>
        <v>0.5</v>
      </c>
      <c r="F16" s="54">
        <v>2.8</v>
      </c>
      <c r="G16" s="54">
        <v>1.8</v>
      </c>
      <c r="H16" s="54">
        <v>13</v>
      </c>
      <c r="I16" s="54">
        <v>13</v>
      </c>
      <c r="J16" s="54">
        <f t="shared" si="0"/>
        <v>13</v>
      </c>
      <c r="K16" s="54">
        <f t="shared" si="1"/>
        <v>10.199999999999999</v>
      </c>
      <c r="L16" s="54">
        <f t="shared" si="2"/>
        <v>11.2</v>
      </c>
      <c r="M16" s="54">
        <v>1</v>
      </c>
      <c r="N16" s="54">
        <f t="shared" si="3"/>
        <v>10.199999999999999</v>
      </c>
      <c r="O16" s="54">
        <f t="shared" si="4"/>
        <v>11.2</v>
      </c>
    </row>
    <row r="17" spans="4:15">
      <c r="D17" s="54"/>
      <c r="E17" s="56">
        <f t="shared" si="6"/>
        <v>0.54166666666666663</v>
      </c>
      <c r="F17" s="54">
        <v>2.9</v>
      </c>
      <c r="G17" s="54">
        <v>1.9</v>
      </c>
      <c r="H17" s="54">
        <v>13</v>
      </c>
      <c r="I17" s="54">
        <v>13</v>
      </c>
      <c r="J17" s="54">
        <f t="shared" si="0"/>
        <v>13</v>
      </c>
      <c r="K17" s="54">
        <f t="shared" si="1"/>
        <v>10.1</v>
      </c>
      <c r="L17" s="54">
        <f t="shared" si="2"/>
        <v>11.1</v>
      </c>
      <c r="M17" s="54">
        <v>1</v>
      </c>
      <c r="N17" s="54">
        <f t="shared" si="3"/>
        <v>10.1</v>
      </c>
      <c r="O17" s="54">
        <f t="shared" si="4"/>
        <v>11.1</v>
      </c>
    </row>
    <row r="18" spans="4:15">
      <c r="D18" s="54"/>
      <c r="E18" s="56">
        <f t="shared" si="6"/>
        <v>0.58333333333333326</v>
      </c>
      <c r="F18" s="54">
        <v>3.1</v>
      </c>
      <c r="G18" s="54">
        <v>2.1</v>
      </c>
      <c r="H18" s="54">
        <v>13</v>
      </c>
      <c r="I18" s="54">
        <v>13</v>
      </c>
      <c r="J18" s="54">
        <f t="shared" si="0"/>
        <v>13</v>
      </c>
      <c r="K18" s="54">
        <f t="shared" si="1"/>
        <v>9.9</v>
      </c>
      <c r="L18" s="54">
        <f t="shared" si="2"/>
        <v>10.9</v>
      </c>
      <c r="M18" s="54">
        <v>1</v>
      </c>
      <c r="N18" s="54">
        <f t="shared" si="3"/>
        <v>9.9</v>
      </c>
      <c r="O18" s="54">
        <f t="shared" si="4"/>
        <v>10.9</v>
      </c>
    </row>
    <row r="19" spans="4:15">
      <c r="D19" s="54"/>
      <c r="E19" s="56">
        <f t="shared" si="6"/>
        <v>0.62499999999999989</v>
      </c>
      <c r="F19" s="54">
        <v>3.2</v>
      </c>
      <c r="G19" s="54">
        <v>2.1</v>
      </c>
      <c r="H19" s="54">
        <v>13</v>
      </c>
      <c r="I19" s="54">
        <v>13</v>
      </c>
      <c r="J19" s="54">
        <f t="shared" si="0"/>
        <v>13</v>
      </c>
      <c r="K19" s="54">
        <f t="shared" si="1"/>
        <v>9.8000000000000007</v>
      </c>
      <c r="L19" s="54">
        <f t="shared" si="2"/>
        <v>10.9</v>
      </c>
      <c r="M19" s="54">
        <v>1</v>
      </c>
      <c r="N19" s="54">
        <f t="shared" si="3"/>
        <v>9.8000000000000007</v>
      </c>
      <c r="O19" s="54">
        <f t="shared" si="4"/>
        <v>10.9</v>
      </c>
    </row>
    <row r="20" spans="4:15">
      <c r="D20" s="54"/>
      <c r="E20" s="56">
        <f t="shared" si="6"/>
        <v>0.66666666666666652</v>
      </c>
      <c r="F20" s="54">
        <v>3.4</v>
      </c>
      <c r="G20" s="54">
        <v>2.1</v>
      </c>
      <c r="H20" s="54">
        <v>12</v>
      </c>
      <c r="I20" s="54">
        <v>12</v>
      </c>
      <c r="J20" s="54">
        <f t="shared" si="0"/>
        <v>12</v>
      </c>
      <c r="K20" s="54">
        <f t="shared" si="1"/>
        <v>8.6</v>
      </c>
      <c r="L20" s="54">
        <f t="shared" si="2"/>
        <v>9.9</v>
      </c>
      <c r="M20" s="54">
        <v>1</v>
      </c>
      <c r="N20" s="54">
        <f t="shared" si="3"/>
        <v>8.6</v>
      </c>
      <c r="O20" s="54">
        <f t="shared" si="4"/>
        <v>9.9</v>
      </c>
    </row>
    <row r="21" spans="4:15">
      <c r="D21" s="54"/>
      <c r="E21" s="56">
        <f t="shared" si="6"/>
        <v>0.70833333333333315</v>
      </c>
      <c r="F21" s="54">
        <v>3.5</v>
      </c>
      <c r="G21" s="54">
        <v>2.1</v>
      </c>
      <c r="H21" s="54">
        <v>12</v>
      </c>
      <c r="I21" s="54">
        <v>12</v>
      </c>
      <c r="J21" s="54">
        <f t="shared" si="0"/>
        <v>12</v>
      </c>
      <c r="K21" s="54">
        <f t="shared" si="1"/>
        <v>8.5</v>
      </c>
      <c r="L21" s="54">
        <f t="shared" si="2"/>
        <v>9.9</v>
      </c>
      <c r="M21" s="54">
        <v>1</v>
      </c>
      <c r="N21" s="54">
        <f t="shared" si="3"/>
        <v>8.5</v>
      </c>
      <c r="O21" s="54">
        <f t="shared" si="4"/>
        <v>9.9</v>
      </c>
    </row>
    <row r="22" spans="4:15">
      <c r="D22" s="55">
        <v>41279</v>
      </c>
      <c r="E22" s="57">
        <v>0.375</v>
      </c>
      <c r="F22" s="54">
        <v>3.3</v>
      </c>
      <c r="G22" s="54">
        <v>2.2000000000000002</v>
      </c>
      <c r="H22" s="54">
        <v>14</v>
      </c>
      <c r="I22" s="54">
        <v>10</v>
      </c>
      <c r="J22" s="54">
        <f t="shared" si="0"/>
        <v>12</v>
      </c>
      <c r="K22" s="54">
        <f t="shared" si="1"/>
        <v>8.6999999999999993</v>
      </c>
      <c r="L22" s="54">
        <f t="shared" si="2"/>
        <v>9.8000000000000007</v>
      </c>
      <c r="M22" s="54">
        <v>16</v>
      </c>
      <c r="N22" s="54">
        <f t="shared" si="3"/>
        <v>139.19999999999999</v>
      </c>
      <c r="O22" s="54">
        <f t="shared" si="4"/>
        <v>156.80000000000001</v>
      </c>
    </row>
    <row r="23" spans="4:15">
      <c r="D23" s="54"/>
      <c r="E23" s="57">
        <f>E22+TIME(1,0,0)</f>
        <v>0.41666666666666669</v>
      </c>
      <c r="F23" s="54">
        <v>3.3</v>
      </c>
      <c r="G23" s="54">
        <v>2.2000000000000002</v>
      </c>
      <c r="H23" s="54">
        <v>10</v>
      </c>
      <c r="I23" s="54">
        <v>10</v>
      </c>
      <c r="J23" s="54">
        <f t="shared" si="0"/>
        <v>10</v>
      </c>
      <c r="K23" s="54">
        <f t="shared" si="1"/>
        <v>6.7</v>
      </c>
      <c r="L23" s="54">
        <f t="shared" si="2"/>
        <v>7.8</v>
      </c>
      <c r="M23" s="54">
        <v>1</v>
      </c>
      <c r="N23" s="54">
        <f t="shared" si="3"/>
        <v>6.7</v>
      </c>
      <c r="O23" s="54">
        <f t="shared" si="4"/>
        <v>7.8</v>
      </c>
    </row>
    <row r="24" spans="4:15">
      <c r="D24" s="54"/>
      <c r="E24" s="57">
        <f t="shared" ref="E24:E30" si="7">E23+TIME(1,0,0)</f>
        <v>0.45833333333333337</v>
      </c>
      <c r="F24" s="54">
        <v>3.3</v>
      </c>
      <c r="G24" s="54">
        <v>2.2000000000000002</v>
      </c>
      <c r="H24" s="54">
        <v>10</v>
      </c>
      <c r="I24" s="54">
        <v>10</v>
      </c>
      <c r="J24" s="54">
        <f t="shared" si="0"/>
        <v>10</v>
      </c>
      <c r="K24" s="54">
        <f t="shared" si="1"/>
        <v>6.7</v>
      </c>
      <c r="L24" s="54">
        <f t="shared" si="2"/>
        <v>7.8</v>
      </c>
      <c r="M24" s="54">
        <v>1</v>
      </c>
      <c r="N24" s="54">
        <f t="shared" si="3"/>
        <v>6.7</v>
      </c>
      <c r="O24" s="54">
        <f t="shared" si="4"/>
        <v>7.8</v>
      </c>
    </row>
    <row r="25" spans="4:15">
      <c r="D25" s="54"/>
      <c r="E25" s="57">
        <f t="shared" si="7"/>
        <v>0.5</v>
      </c>
      <c r="F25" s="54">
        <v>3.8</v>
      </c>
      <c r="G25" s="54">
        <v>2.2999999999999998</v>
      </c>
      <c r="H25" s="54">
        <v>11</v>
      </c>
      <c r="I25" s="54">
        <v>11</v>
      </c>
      <c r="J25" s="54">
        <f t="shared" si="0"/>
        <v>11</v>
      </c>
      <c r="K25" s="54">
        <f t="shared" si="1"/>
        <v>7.2</v>
      </c>
      <c r="L25" s="54">
        <f t="shared" si="2"/>
        <v>8.6999999999999993</v>
      </c>
      <c r="M25" s="54">
        <v>1</v>
      </c>
      <c r="N25" s="54">
        <f t="shared" si="3"/>
        <v>7.2</v>
      </c>
      <c r="O25" s="54">
        <f t="shared" si="4"/>
        <v>8.6999999999999993</v>
      </c>
    </row>
    <row r="26" spans="4:15">
      <c r="D26" s="54"/>
      <c r="E26" s="57">
        <f t="shared" si="7"/>
        <v>0.54166666666666663</v>
      </c>
      <c r="F26" s="54">
        <v>3.7</v>
      </c>
      <c r="G26" s="54">
        <v>2.4</v>
      </c>
      <c r="H26" s="54">
        <v>11</v>
      </c>
      <c r="I26" s="54">
        <v>11</v>
      </c>
      <c r="J26" s="54">
        <f t="shared" si="0"/>
        <v>11</v>
      </c>
      <c r="K26" s="54">
        <f t="shared" si="1"/>
        <v>7.3</v>
      </c>
      <c r="L26" s="54">
        <f t="shared" si="2"/>
        <v>8.6</v>
      </c>
      <c r="M26" s="54">
        <v>1</v>
      </c>
      <c r="N26" s="54">
        <f t="shared" si="3"/>
        <v>7.3</v>
      </c>
      <c r="O26" s="54">
        <f t="shared" si="4"/>
        <v>8.6</v>
      </c>
    </row>
    <row r="27" spans="4:15">
      <c r="D27" s="54"/>
      <c r="E27" s="57">
        <f t="shared" si="7"/>
        <v>0.58333333333333326</v>
      </c>
      <c r="F27" s="54">
        <v>3.8</v>
      </c>
      <c r="G27" s="54">
        <v>2.4</v>
      </c>
      <c r="H27" s="54">
        <v>11</v>
      </c>
      <c r="I27" s="54">
        <v>11</v>
      </c>
      <c r="J27" s="54">
        <f t="shared" si="0"/>
        <v>11</v>
      </c>
      <c r="K27" s="54">
        <f t="shared" si="1"/>
        <v>7.2</v>
      </c>
      <c r="L27" s="54">
        <f t="shared" si="2"/>
        <v>8.6</v>
      </c>
      <c r="M27" s="54">
        <v>1</v>
      </c>
      <c r="N27" s="54">
        <f t="shared" si="3"/>
        <v>7.2</v>
      </c>
      <c r="O27" s="54">
        <f t="shared" si="4"/>
        <v>8.6</v>
      </c>
    </row>
    <row r="28" spans="4:15">
      <c r="D28" s="54"/>
      <c r="E28" s="57">
        <f t="shared" si="7"/>
        <v>0.62499999999999989</v>
      </c>
      <c r="F28" s="54">
        <v>3.9</v>
      </c>
      <c r="G28" s="54">
        <v>2.5</v>
      </c>
      <c r="H28" s="54">
        <v>11</v>
      </c>
      <c r="I28" s="54">
        <v>11</v>
      </c>
      <c r="J28" s="54">
        <f t="shared" si="0"/>
        <v>11</v>
      </c>
      <c r="K28" s="54">
        <f t="shared" si="1"/>
        <v>7.1</v>
      </c>
      <c r="L28" s="54">
        <f t="shared" si="2"/>
        <v>8.5</v>
      </c>
      <c r="M28" s="54">
        <v>1</v>
      </c>
      <c r="N28" s="54">
        <f t="shared" si="3"/>
        <v>7.1</v>
      </c>
      <c r="O28" s="54">
        <f t="shared" si="4"/>
        <v>8.5</v>
      </c>
    </row>
    <row r="29" spans="4:15">
      <c r="D29" s="54"/>
      <c r="E29" s="57">
        <f t="shared" si="7"/>
        <v>0.66666666666666652</v>
      </c>
      <c r="F29" s="54">
        <v>3.9</v>
      </c>
      <c r="G29" s="54">
        <v>2.5</v>
      </c>
      <c r="H29" s="54">
        <v>11</v>
      </c>
      <c r="I29" s="54">
        <v>11</v>
      </c>
      <c r="J29" s="54">
        <f t="shared" si="0"/>
        <v>11</v>
      </c>
      <c r="K29" s="54">
        <f t="shared" si="1"/>
        <v>7.1</v>
      </c>
      <c r="L29" s="54">
        <f t="shared" si="2"/>
        <v>8.5</v>
      </c>
      <c r="M29" s="54">
        <v>1</v>
      </c>
      <c r="N29" s="54">
        <f t="shared" si="3"/>
        <v>7.1</v>
      </c>
      <c r="O29" s="54">
        <f t="shared" si="4"/>
        <v>8.5</v>
      </c>
    </row>
    <row r="30" spans="4:15">
      <c r="D30" s="54"/>
      <c r="E30" s="57">
        <f t="shared" si="7"/>
        <v>0.70833333333333315</v>
      </c>
      <c r="F30" s="54">
        <v>4</v>
      </c>
      <c r="G30" s="54">
        <v>2.8</v>
      </c>
      <c r="H30" s="54">
        <v>11</v>
      </c>
      <c r="I30" s="54">
        <v>11</v>
      </c>
      <c r="J30" s="54">
        <f t="shared" si="0"/>
        <v>11</v>
      </c>
      <c r="K30" s="54">
        <f t="shared" si="1"/>
        <v>7</v>
      </c>
      <c r="L30" s="54">
        <f t="shared" si="2"/>
        <v>8.1999999999999993</v>
      </c>
      <c r="M30" s="54">
        <v>1</v>
      </c>
      <c r="N30" s="54">
        <f t="shared" si="3"/>
        <v>7</v>
      </c>
      <c r="O30" s="54">
        <f t="shared" si="4"/>
        <v>8.1999999999999993</v>
      </c>
    </row>
    <row r="31" spans="4:15">
      <c r="D31" s="55">
        <v>41280</v>
      </c>
      <c r="E31" s="57">
        <v>0.5</v>
      </c>
      <c r="F31" s="54">
        <v>3.4</v>
      </c>
      <c r="G31" s="54">
        <v>2.2000000000000002</v>
      </c>
      <c r="H31" s="54">
        <v>11</v>
      </c>
      <c r="I31" s="54">
        <v>7</v>
      </c>
      <c r="J31" s="54">
        <f t="shared" si="0"/>
        <v>9</v>
      </c>
      <c r="K31" s="54">
        <f t="shared" si="1"/>
        <v>5.6</v>
      </c>
      <c r="L31" s="54">
        <f t="shared" si="2"/>
        <v>6.8</v>
      </c>
      <c r="M31" s="54">
        <v>19</v>
      </c>
      <c r="N31" s="54">
        <f t="shared" si="3"/>
        <v>106.39999999999999</v>
      </c>
      <c r="O31" s="54">
        <f t="shared" si="4"/>
        <v>129.19999999999999</v>
      </c>
    </row>
    <row r="33" spans="5:14">
      <c r="H33" t="s">
        <v>93</v>
      </c>
      <c r="M33">
        <f>SUM(M6:M31)</f>
        <v>73</v>
      </c>
    </row>
    <row r="34" spans="5:14">
      <c r="H34" t="s">
        <v>94</v>
      </c>
      <c r="M34" s="50">
        <f>SUM(N6:N31)/M33</f>
        <v>8.666986301369862</v>
      </c>
    </row>
    <row r="35" spans="5:14">
      <c r="H35" t="s">
        <v>95</v>
      </c>
      <c r="M35" s="50">
        <f>SUM(O6:O31)/M33</f>
        <v>9.9080821917808208</v>
      </c>
    </row>
    <row r="36" spans="5:14">
      <c r="H36" t="s">
        <v>96</v>
      </c>
      <c r="M36">
        <v>2.09</v>
      </c>
      <c r="N36" t="s">
        <v>97</v>
      </c>
    </row>
    <row r="37" spans="5:14">
      <c r="H37" t="s">
        <v>98</v>
      </c>
      <c r="M37">
        <v>334</v>
      </c>
      <c r="N37" t="s">
        <v>99</v>
      </c>
    </row>
    <row r="38" spans="5:14">
      <c r="H38" t="s">
        <v>100</v>
      </c>
      <c r="M38">
        <v>3.6</v>
      </c>
      <c r="N38" t="s">
        <v>101</v>
      </c>
    </row>
    <row r="39" spans="5:14">
      <c r="H39" t="s">
        <v>102</v>
      </c>
      <c r="M39">
        <v>2.1</v>
      </c>
      <c r="N39" t="s">
        <v>103</v>
      </c>
    </row>
    <row r="40" spans="5:14">
      <c r="H40" t="s">
        <v>104</v>
      </c>
      <c r="M40">
        <v>2.1</v>
      </c>
      <c r="N40" t="s">
        <v>103</v>
      </c>
    </row>
    <row r="41" spans="5:14">
      <c r="H41" t="s">
        <v>105</v>
      </c>
      <c r="M41" s="51">
        <v>0.6</v>
      </c>
      <c r="N41" t="s">
        <v>103</v>
      </c>
    </row>
    <row r="42" spans="5:14">
      <c r="H42" t="s">
        <v>106</v>
      </c>
      <c r="M42">
        <v>0.77500000000000002</v>
      </c>
      <c r="N42" t="s">
        <v>103</v>
      </c>
    </row>
    <row r="44" spans="5:14">
      <c r="E44" t="s">
        <v>110</v>
      </c>
      <c r="M44" s="59">
        <f>(M36*M39*ABS(F6)+M37*(M39-M41))/M38</f>
        <v>151.35833333333332</v>
      </c>
      <c r="N44" t="s">
        <v>107</v>
      </c>
    </row>
    <row r="45" spans="5:14">
      <c r="E45" t="s">
        <v>111</v>
      </c>
      <c r="M45">
        <f>(M36*M40*ABS(G6)+M37*(M40-M42))/M38</f>
        <v>141.33997222222226</v>
      </c>
      <c r="N45" t="s">
        <v>107</v>
      </c>
    </row>
    <row r="47" spans="5:14">
      <c r="E47" s="2" t="s">
        <v>108</v>
      </c>
      <c r="F47" s="2"/>
      <c r="G47" s="2"/>
      <c r="H47" s="2"/>
      <c r="I47" s="2"/>
      <c r="J47" s="2"/>
      <c r="K47" s="2"/>
      <c r="L47" s="2"/>
      <c r="M47" s="60">
        <f>M44/M33*24</f>
        <v>49.761643835616439</v>
      </c>
      <c r="N47" s="2" t="s">
        <v>27</v>
      </c>
    </row>
    <row r="48" spans="5:14">
      <c r="E48" s="2" t="s">
        <v>109</v>
      </c>
      <c r="F48" s="2"/>
      <c r="G48" s="2"/>
      <c r="H48" s="2"/>
      <c r="I48" s="2"/>
      <c r="J48" s="2"/>
      <c r="K48" s="2"/>
      <c r="L48" s="2"/>
      <c r="M48" s="60">
        <f>M45/M33*24</f>
        <v>46.46793607305937</v>
      </c>
      <c r="N48" s="2" t="s">
        <v>27</v>
      </c>
    </row>
    <row r="51" spans="6:8">
      <c r="F51" s="54"/>
      <c r="G51" s="65" t="s">
        <v>112</v>
      </c>
      <c r="H51" s="65" t="s">
        <v>113</v>
      </c>
    </row>
    <row r="52" spans="6:8">
      <c r="F52" s="54"/>
      <c r="G52" s="66" t="s">
        <v>27</v>
      </c>
      <c r="H52" s="66" t="s">
        <v>27</v>
      </c>
    </row>
    <row r="53" spans="6:8">
      <c r="F53" s="63" t="s">
        <v>85</v>
      </c>
      <c r="G53" s="64">
        <v>49.3</v>
      </c>
      <c r="H53" s="64">
        <v>49.8</v>
      </c>
    </row>
    <row r="54" spans="6:8">
      <c r="F54" s="58" t="s">
        <v>86</v>
      </c>
      <c r="G54" s="62">
        <v>45.9</v>
      </c>
      <c r="H54" s="62">
        <v>46.5</v>
      </c>
    </row>
  </sheetData>
  <mergeCells count="3">
    <mergeCell ref="F4:G4"/>
    <mergeCell ref="H4:J4"/>
    <mergeCell ref="K4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Predictions</vt:lpstr>
      <vt:lpstr>Measurements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>Intel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saunders</dc:creator>
  <cp:lastModifiedBy>John Saunders</cp:lastModifiedBy>
  <dcterms:created xsi:type="dcterms:W3CDTF">2011-05-20T11:34:39Z</dcterms:created>
  <dcterms:modified xsi:type="dcterms:W3CDTF">2021-01-07T16:28:26Z</dcterms:modified>
</cp:coreProperties>
</file>